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en pop.ż\P. Hania\Documents\Documents\OPP 2019\"/>
    </mc:Choice>
  </mc:AlternateContent>
  <bookViews>
    <workbookView xWindow="1200" yWindow="990" windowWidth="21840" windowHeight="8190"/>
  </bookViews>
  <sheets>
    <sheet name="Bilan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Bilans!$A$1:$AD$29</definedName>
  </definedNames>
  <calcPr calcId="162913"/>
</workbook>
</file>

<file path=xl/calcChain.xml><?xml version="1.0" encoding="utf-8"?>
<calcChain xmlns="http://schemas.openxmlformats.org/spreadsheetml/2006/main">
  <c r="O22" i="1" l="1"/>
  <c r="AC9" i="1"/>
  <c r="AD10" i="1"/>
  <c r="O11" i="1" l="1"/>
  <c r="AD9" i="1" l="1"/>
  <c r="N9" i="1"/>
  <c r="AD22" i="1"/>
  <c r="AC22" i="1"/>
  <c r="AB22" i="1"/>
  <c r="AA22" i="1"/>
  <c r="Z22" i="1"/>
  <c r="Y22" i="1"/>
  <c r="X22" i="1"/>
  <c r="W22" i="1"/>
  <c r="V22" i="1"/>
  <c r="U22" i="1"/>
  <c r="U15" i="1" s="1"/>
  <c r="T22" i="1"/>
  <c r="S22" i="1"/>
  <c r="R22" i="1"/>
  <c r="O21" i="1"/>
  <c r="O15" i="1" s="1"/>
  <c r="N21" i="1"/>
  <c r="N15" i="1" s="1"/>
  <c r="N25" i="1" s="1"/>
  <c r="M21" i="1"/>
  <c r="L21" i="1"/>
  <c r="K21" i="1"/>
  <c r="K15" i="1" s="1"/>
  <c r="J21" i="1"/>
  <c r="I21" i="1"/>
  <c r="I15" i="1" s="1"/>
  <c r="H21" i="1"/>
  <c r="G21" i="1"/>
  <c r="G15" i="1" s="1"/>
  <c r="F21" i="1"/>
  <c r="E21" i="1"/>
  <c r="D21" i="1"/>
  <c r="C21" i="1"/>
  <c r="C15" i="1" s="1"/>
  <c r="AA19" i="1"/>
  <c r="AD17" i="1"/>
  <c r="AD15" i="1" s="1"/>
  <c r="AC17" i="1"/>
  <c r="AB17" i="1"/>
  <c r="AB15" i="1" s="1"/>
  <c r="AA17" i="1"/>
  <c r="AA15" i="1" s="1"/>
  <c r="Z17" i="1"/>
  <c r="Y17" i="1"/>
  <c r="X17" i="1"/>
  <c r="X15" i="1" s="1"/>
  <c r="W17" i="1"/>
  <c r="W15" i="1" s="1"/>
  <c r="V17" i="1"/>
  <c r="U17" i="1"/>
  <c r="T17" i="1"/>
  <c r="T15" i="1" s="1"/>
  <c r="S17" i="1"/>
  <c r="S15" i="1" s="1"/>
  <c r="R17" i="1"/>
  <c r="AC15" i="1"/>
  <c r="AC25" i="1" s="1"/>
  <c r="V15" i="1"/>
  <c r="M15" i="1"/>
  <c r="L15" i="1"/>
  <c r="J15" i="1"/>
  <c r="H15" i="1"/>
  <c r="F15" i="1"/>
  <c r="E15" i="1"/>
  <c r="D15" i="1"/>
  <c r="AB12" i="1"/>
  <c r="AA12" i="1"/>
  <c r="Z12" i="1"/>
  <c r="Y12" i="1"/>
  <c r="X12" i="1"/>
  <c r="W12" i="1"/>
  <c r="V12" i="1"/>
  <c r="U12" i="1"/>
  <c r="S12" i="1"/>
  <c r="R12" i="1"/>
  <c r="R9" i="1" s="1"/>
  <c r="K11" i="1"/>
  <c r="K9" i="1" s="1"/>
  <c r="J11" i="1"/>
  <c r="J9" i="1" s="1"/>
  <c r="I11" i="1"/>
  <c r="I9" i="1" s="1"/>
  <c r="H11" i="1"/>
  <c r="G11" i="1"/>
  <c r="G9" i="1" s="1"/>
  <c r="F11" i="1"/>
  <c r="E11" i="1"/>
  <c r="E9" i="1" s="1"/>
  <c r="E25" i="1" s="1"/>
  <c r="D11" i="1"/>
  <c r="D9" i="1" s="1"/>
  <c r="D25" i="1" s="1"/>
  <c r="C11" i="1"/>
  <c r="C9" i="1" s="1"/>
  <c r="W10" i="1"/>
  <c r="S10" i="1"/>
  <c r="S9" i="1" s="1"/>
  <c r="W9" i="1"/>
  <c r="O9" i="1"/>
  <c r="H9" i="1"/>
  <c r="F9" i="1"/>
  <c r="F25" i="1" s="1"/>
  <c r="I25" i="1" l="1"/>
  <c r="J25" i="1"/>
  <c r="Y15" i="1"/>
  <c r="R15" i="1"/>
  <c r="Z15" i="1"/>
  <c r="H25" i="1"/>
  <c r="G25" i="1"/>
  <c r="K25" i="1"/>
  <c r="C25" i="1"/>
  <c r="L11" i="1"/>
  <c r="R25" i="1"/>
  <c r="X10" i="1"/>
  <c r="Y10" i="1" s="1"/>
  <c r="T10" i="1"/>
  <c r="U10" i="1" s="1"/>
  <c r="AD25" i="1"/>
  <c r="O25" i="1"/>
  <c r="S25" i="1"/>
  <c r="AE25" i="1"/>
  <c r="W25" i="1"/>
  <c r="T9" i="1"/>
  <c r="T25" i="1" s="1"/>
  <c r="X9" i="1" l="1"/>
  <c r="X25" i="1" s="1"/>
  <c r="M11" i="1"/>
  <c r="M9" i="1" s="1"/>
  <c r="M25" i="1" s="1"/>
  <c r="L9" i="1"/>
  <c r="L25" i="1" s="1"/>
  <c r="V10" i="1"/>
  <c r="V9" i="1" s="1"/>
  <c r="V25" i="1" s="1"/>
  <c r="U9" i="1"/>
  <c r="U25" i="1" s="1"/>
  <c r="Y9" i="1"/>
  <c r="Y25" i="1" s="1"/>
  <c r="Z10" i="1"/>
  <c r="AA10" i="1" l="1"/>
  <c r="Z9" i="1"/>
  <c r="Z25" i="1" s="1"/>
  <c r="AB10" i="1" l="1"/>
  <c r="AB9" i="1" s="1"/>
  <c r="AB25" i="1" s="1"/>
  <c r="AA9" i="1"/>
  <c r="AA25" i="1" s="1"/>
</calcChain>
</file>

<file path=xl/sharedStrings.xml><?xml version="1.0" encoding="utf-8"?>
<sst xmlns="http://schemas.openxmlformats.org/spreadsheetml/2006/main" count="100" uniqueCount="70">
  <si>
    <t>BILANS</t>
  </si>
  <si>
    <t>CARITAS DIECEZJI TORUŃSKIEJ</t>
  </si>
  <si>
    <t>REGON:  040019534</t>
  </si>
  <si>
    <t>(nazwa jednostki)</t>
  </si>
  <si>
    <t>na dzień</t>
  </si>
  <si>
    <t>na dzień:</t>
  </si>
  <si>
    <t>NA KONIEC ROKU</t>
  </si>
  <si>
    <t>(numer statystyczny)</t>
  </si>
  <si>
    <t>Bilans sporządzony zgodnie z załącznikiem do rozporządzenia Ministra Finansów z 15.11.2001 (DZ. U. 137poz. 1539z późn.zm.)</t>
  </si>
  <si>
    <t>Wiersz</t>
  </si>
  <si>
    <t>AKTYWA</t>
  </si>
  <si>
    <t xml:space="preserve">Stan na </t>
  </si>
  <si>
    <t>PASYWA</t>
  </si>
  <si>
    <t>Stan na</t>
  </si>
  <si>
    <t>początek roku</t>
  </si>
  <si>
    <t>koniec roku 2006</t>
  </si>
  <si>
    <t>koniec roku 2007</t>
  </si>
  <si>
    <t>koniec roku 2008</t>
  </si>
  <si>
    <t>koniec roku 2009</t>
  </si>
  <si>
    <t>koniec roku 2010</t>
  </si>
  <si>
    <t>koniec roku 2011</t>
  </si>
  <si>
    <t>koniec roku 2012</t>
  </si>
  <si>
    <t>koniec roku 2013</t>
  </si>
  <si>
    <t>koniec roku 2014</t>
  </si>
  <si>
    <t>koniec roku 2015</t>
  </si>
  <si>
    <t>koniec roku 2018</t>
  </si>
  <si>
    <t>A</t>
  </si>
  <si>
    <t>Aktywa trwałe</t>
  </si>
  <si>
    <t>Fundusze własne</t>
  </si>
  <si>
    <t>I</t>
  </si>
  <si>
    <t>Wartości niematerialne i prawne</t>
  </si>
  <si>
    <t>Fundusz statutowy</t>
  </si>
  <si>
    <t>II</t>
  </si>
  <si>
    <t>Rzeczowe aktywa trwałe</t>
  </si>
  <si>
    <t>Fundusz z aktualizacji wyceny</t>
  </si>
  <si>
    <t>III</t>
  </si>
  <si>
    <t>Należności długoterminowe</t>
  </si>
  <si>
    <t>Wynik finansowy netto za rok obrotowy</t>
  </si>
  <si>
    <t>IV</t>
  </si>
  <si>
    <t>Inwestycje długoterminowe</t>
  </si>
  <si>
    <t>Nadwyżka przychodów nad kosztami (wielkość dodatnia)</t>
  </si>
  <si>
    <t>V</t>
  </si>
  <si>
    <t>Długoterminowe rozliczenia międzyokresowe</t>
  </si>
  <si>
    <t>Nadwyżka kosztów nad przychodami (wielkość ujemna)</t>
  </si>
  <si>
    <t>B</t>
  </si>
  <si>
    <t>Aktywa obrotowe</t>
  </si>
  <si>
    <t>Zobowiązania i rezerwy na zobowiązania</t>
  </si>
  <si>
    <t>Zapasy rzeczowych aktywów obrotowych</t>
  </si>
  <si>
    <t>Zobowiązania długoterminowe z tytułu kredytów i pożyczek</t>
  </si>
  <si>
    <t>Należności krótkoterminowe</t>
  </si>
  <si>
    <t>Zobowiązania krótkoterminowe i fundusze specjalne</t>
  </si>
  <si>
    <t>Kredyty i pożyczki</t>
  </si>
  <si>
    <t>Inne zobowiązania</t>
  </si>
  <si>
    <t>Fundusze specjalne</t>
  </si>
  <si>
    <t>Inwestycje krótkoterminowe</t>
  </si>
  <si>
    <t>Rezerwy na zobowiązania</t>
  </si>
  <si>
    <t>Środki pieniężne</t>
  </si>
  <si>
    <t>Rozliczenia międzyokresowe</t>
  </si>
  <si>
    <t>Pozostałe aktywa finansowe</t>
  </si>
  <si>
    <t>Rozliczenia międzyokresowe przychodów</t>
  </si>
  <si>
    <t>C</t>
  </si>
  <si>
    <t>Krótkoterminowe rozliczenia międzyokresowe</t>
  </si>
  <si>
    <t>Inne rozliczenia międzyokresowe</t>
  </si>
  <si>
    <t>Suma bilansowa</t>
  </si>
  <si>
    <t>Ks. Daniel Adamowicz</t>
  </si>
  <si>
    <t>Podpisy</t>
  </si>
  <si>
    <t>zatwierdził:</t>
  </si>
  <si>
    <t>koniec roku 2019</t>
  </si>
  <si>
    <t xml:space="preserve"> </t>
  </si>
  <si>
    <t>Data sporządzenia 31.03.2020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</si>
</sst>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#,##0.00_ ;\-#,##0.00\ 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6" fillId="2" borderId="10" xfId="1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horizontal="left"/>
    </xf>
    <xf numFmtId="164" fontId="8" fillId="0" borderId="0" xfId="0" applyNumberFormat="1" applyFont="1"/>
    <xf numFmtId="0" fontId="7" fillId="0" borderId="0" xfId="0" applyFont="1" applyAlignment="1">
      <alignment horizontal="left"/>
    </xf>
    <xf numFmtId="164" fontId="2" fillId="0" borderId="0" xfId="0" applyNumberFormat="1" applyFont="1"/>
    <xf numFmtId="0" fontId="7" fillId="0" borderId="0" xfId="0" applyFont="1"/>
    <xf numFmtId="164" fontId="2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06\Informacja_dodatkowa06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06\Rachunek_wynikow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08\Rachunek_wynikow%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Rachunek_wynikow%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1\Rachunek_wynikow%20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2\Rachunek_wynikow%20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3\Rachunek_wynikow%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Informacja_dodatkowa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Informacja_dodatkowa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Informacja_dodatkowa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Informacja_dodatkowa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0\Informacja_dodatkowa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13\Informacja_dodatkowa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\Downloads\Rachunek_wynikow%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\Rachunek_wynikow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46">
          <cell r="F46">
            <v>3828.6669999999999</v>
          </cell>
        </row>
        <row r="50">
          <cell r="K50">
            <v>148360.84299999999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E37">
            <v>14182.712999999989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G37">
            <v>68589.002999999968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H37">
            <v>-14041.537000000028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I37">
            <v>-18927.397000000001</v>
          </cell>
          <cell r="J37">
            <v>-24295.119999999999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K37">
            <v>79094.579999999987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L37">
            <v>64507.820000000051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50">
          <cell r="K50">
            <v>144532.17299999998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50">
          <cell r="K50">
            <v>140703.503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50">
          <cell r="K50">
            <v>136874.83299999998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46">
          <cell r="K46">
            <v>133046.163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50">
          <cell r="K50">
            <v>129217.49299999999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46">
          <cell r="F46">
            <v>3828.6669999999999</v>
          </cell>
          <cell r="K46">
            <v>121560.15299999999</v>
          </cell>
        </row>
        <row r="50">
          <cell r="K50">
            <v>121560.15299999999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27">
          <cell r="M27">
            <v>3828.67</v>
          </cell>
        </row>
        <row r="37">
          <cell r="M37">
            <v>46187.269999999939</v>
          </cell>
          <cell r="N37">
            <v>102044.80999999994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hunek_wyników"/>
    </sheetNames>
    <sheetDataSet>
      <sheetData sheetId="0">
        <row r="37">
          <cell r="D37">
            <v>152828.74325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showGridLines="0" tabSelected="1" zoomScale="136" zoomScaleNormal="136" workbookViewId="0">
      <selection activeCell="AH16" sqref="AH16"/>
    </sheetView>
  </sheetViews>
  <sheetFormatPr defaultColWidth="9.140625" defaultRowHeight="12.75" x14ac:dyDescent="0.2"/>
  <cols>
    <col min="1" max="1" width="9.140625" style="2"/>
    <col min="2" max="2" width="35.140625" style="2" customWidth="1"/>
    <col min="3" max="3" width="19.28515625" style="2" hidden="1" customWidth="1"/>
    <col min="4" max="4" width="20.28515625" style="2" hidden="1" customWidth="1"/>
    <col min="5" max="5" width="16.7109375" style="2" hidden="1" customWidth="1"/>
    <col min="6" max="6" width="20.5703125" style="2" hidden="1" customWidth="1"/>
    <col min="7" max="7" width="0.140625" style="2" hidden="1" customWidth="1"/>
    <col min="8" max="8" width="13.85546875" style="2" hidden="1" customWidth="1"/>
    <col min="9" max="9" width="0.28515625" style="2" hidden="1" customWidth="1"/>
    <col min="10" max="10" width="13.85546875" style="2" hidden="1" customWidth="1"/>
    <col min="11" max="11" width="14.7109375" style="2" hidden="1" customWidth="1"/>
    <col min="12" max="12" width="0.140625" style="2" hidden="1" customWidth="1"/>
    <col min="13" max="13" width="14.7109375" style="2" hidden="1" customWidth="1"/>
    <col min="14" max="15" width="14.7109375" style="2" customWidth="1"/>
    <col min="16" max="16" width="9.140625" style="2"/>
    <col min="17" max="17" width="32.85546875" style="2" customWidth="1"/>
    <col min="18" max="18" width="13.7109375" style="2" hidden="1" customWidth="1"/>
    <col min="19" max="19" width="13.28515625" style="2" hidden="1" customWidth="1"/>
    <col min="20" max="20" width="13.42578125" style="2" hidden="1" customWidth="1"/>
    <col min="21" max="21" width="15.5703125" style="2" hidden="1" customWidth="1"/>
    <col min="22" max="22" width="15.42578125" style="2" hidden="1" customWidth="1"/>
    <col min="23" max="23" width="14.5703125" style="2" hidden="1" customWidth="1"/>
    <col min="24" max="24" width="17.28515625" style="2" hidden="1" customWidth="1"/>
    <col min="25" max="25" width="16.140625" style="2" hidden="1" customWidth="1"/>
    <col min="26" max="26" width="0.28515625" style="2" hidden="1" customWidth="1"/>
    <col min="27" max="27" width="15.85546875" style="2" hidden="1" customWidth="1"/>
    <col min="28" max="28" width="15" style="2" hidden="1" customWidth="1"/>
    <col min="29" max="29" width="16.85546875" style="2" customWidth="1"/>
    <col min="30" max="30" width="16.5703125" style="2" customWidth="1"/>
    <col min="31" max="31" width="10.28515625" style="2" bestFit="1" customWidth="1"/>
    <col min="32" max="16384" width="9.140625" style="2"/>
  </cols>
  <sheetData>
    <row r="1" spans="1:30" ht="18" x14ac:dyDescent="0.25">
      <c r="A1" s="1"/>
      <c r="B1" s="1"/>
      <c r="C1" s="1"/>
      <c r="D1" s="37" t="s">
        <v>0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"/>
      <c r="R1" s="1"/>
      <c r="S1" s="1"/>
    </row>
    <row r="2" spans="1:30" ht="14.25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2</v>
      </c>
      <c r="S2" s="1"/>
    </row>
    <row r="3" spans="1:30" ht="14.25" x14ac:dyDescent="0.2">
      <c r="A3" s="1" t="s">
        <v>3</v>
      </c>
      <c r="B3" s="1"/>
      <c r="C3" s="1"/>
      <c r="D3" s="3" t="s">
        <v>4</v>
      </c>
      <c r="E3" s="3"/>
      <c r="F3" s="3"/>
      <c r="G3" s="3"/>
      <c r="H3" s="3" t="s">
        <v>5</v>
      </c>
      <c r="I3" s="3"/>
      <c r="J3" s="3"/>
      <c r="K3" s="3"/>
      <c r="L3" s="3"/>
      <c r="M3" s="3"/>
      <c r="N3" s="3"/>
      <c r="O3" s="3"/>
      <c r="P3" s="1" t="s">
        <v>6</v>
      </c>
      <c r="Q3" s="1"/>
      <c r="R3" s="1" t="s">
        <v>7</v>
      </c>
      <c r="S3" s="1"/>
    </row>
    <row r="4" spans="1:30" ht="14.2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30" x14ac:dyDescent="0.2">
      <c r="A5" s="38" t="s">
        <v>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1:30" ht="14.2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0" ht="15" x14ac:dyDescent="0.2">
      <c r="A7" s="4" t="s">
        <v>9</v>
      </c>
      <c r="B7" s="5" t="s">
        <v>10</v>
      </c>
      <c r="C7" s="6" t="s">
        <v>11</v>
      </c>
      <c r="D7" s="7"/>
      <c r="E7" s="7"/>
      <c r="F7" s="7"/>
      <c r="G7" s="39" t="s">
        <v>11</v>
      </c>
      <c r="H7" s="39"/>
      <c r="I7" s="39"/>
      <c r="J7" s="39"/>
      <c r="K7" s="39"/>
      <c r="L7" s="39"/>
      <c r="M7" s="39"/>
      <c r="N7" s="39"/>
      <c r="O7" s="40"/>
      <c r="P7" s="4" t="s">
        <v>9</v>
      </c>
      <c r="Q7" s="5" t="s">
        <v>12</v>
      </c>
      <c r="R7" s="6" t="s">
        <v>11</v>
      </c>
      <c r="S7" s="7"/>
      <c r="T7" s="7"/>
      <c r="U7" s="6"/>
      <c r="V7" s="6" t="s">
        <v>11</v>
      </c>
      <c r="W7" s="7"/>
      <c r="X7" s="7"/>
      <c r="Y7" s="7"/>
      <c r="Z7" s="7"/>
      <c r="AA7" s="7"/>
      <c r="AB7" s="41" t="s">
        <v>13</v>
      </c>
      <c r="AC7" s="39"/>
      <c r="AD7" s="40"/>
    </row>
    <row r="8" spans="1:30" ht="113.25" customHeight="1" x14ac:dyDescent="0.2">
      <c r="A8" s="8">
        <v>1</v>
      </c>
      <c r="B8" s="5">
        <v>2</v>
      </c>
      <c r="C8" s="9" t="s">
        <v>14</v>
      </c>
      <c r="D8" s="9" t="s">
        <v>15</v>
      </c>
      <c r="E8" s="9" t="s">
        <v>16</v>
      </c>
      <c r="F8" s="9" t="s">
        <v>17</v>
      </c>
      <c r="G8" s="9" t="s">
        <v>18</v>
      </c>
      <c r="H8" s="9" t="s">
        <v>19</v>
      </c>
      <c r="I8" s="9" t="s">
        <v>20</v>
      </c>
      <c r="J8" s="9" t="s">
        <v>21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67</v>
      </c>
      <c r="P8" s="8">
        <v>1</v>
      </c>
      <c r="Q8" s="5">
        <v>2</v>
      </c>
      <c r="R8" s="9" t="s">
        <v>14</v>
      </c>
      <c r="S8" s="9" t="s">
        <v>15</v>
      </c>
      <c r="T8" s="9" t="s">
        <v>16</v>
      </c>
      <c r="U8" s="10" t="s">
        <v>17</v>
      </c>
      <c r="V8" s="9" t="s">
        <v>18</v>
      </c>
      <c r="W8" s="9" t="s">
        <v>19</v>
      </c>
      <c r="X8" s="9" t="s">
        <v>20</v>
      </c>
      <c r="Y8" s="9" t="s">
        <v>21</v>
      </c>
      <c r="Z8" s="9" t="s">
        <v>22</v>
      </c>
      <c r="AA8" s="9" t="s">
        <v>23</v>
      </c>
      <c r="AB8" s="9" t="s">
        <v>24</v>
      </c>
      <c r="AC8" s="9" t="s">
        <v>25</v>
      </c>
      <c r="AD8" s="9" t="s">
        <v>67</v>
      </c>
    </row>
    <row r="9" spans="1:30" ht="15" x14ac:dyDescent="0.2">
      <c r="A9" s="8" t="s">
        <v>26</v>
      </c>
      <c r="B9" s="11" t="s">
        <v>27</v>
      </c>
      <c r="C9" s="12">
        <f t="shared" ref="C9:J9" si="0">SUM(C10:C14)</f>
        <v>152189.50999999998</v>
      </c>
      <c r="D9" s="12">
        <f t="shared" si="0"/>
        <v>148360.84299999999</v>
      </c>
      <c r="E9" s="12">
        <f t="shared" si="0"/>
        <v>144532.17299999998</v>
      </c>
      <c r="F9" s="12">
        <f t="shared" si="0"/>
        <v>140703.503</v>
      </c>
      <c r="G9" s="12">
        <f t="shared" si="0"/>
        <v>136874.83299999998</v>
      </c>
      <c r="H9" s="12">
        <f t="shared" si="0"/>
        <v>133046.163</v>
      </c>
      <c r="I9" s="12">
        <f t="shared" si="0"/>
        <v>129217.49299999999</v>
      </c>
      <c r="J9" s="12">
        <f t="shared" si="0"/>
        <v>125388.81999999999</v>
      </c>
      <c r="K9" s="12">
        <f>SUM(K10:K14)</f>
        <v>121560.15299999999</v>
      </c>
      <c r="L9" s="12">
        <f>SUM(L10:L14)</f>
        <v>117731.48299999999</v>
      </c>
      <c r="M9" s="12">
        <f>SUM(M10:M14)</f>
        <v>113902.81299999999</v>
      </c>
      <c r="N9" s="12">
        <f>SUM(N10:N14)</f>
        <v>102416.8</v>
      </c>
      <c r="O9" s="12">
        <f>SUM(O10:O14)</f>
        <v>137290.01</v>
      </c>
      <c r="P9" s="8" t="s">
        <v>26</v>
      </c>
      <c r="Q9" s="11" t="s">
        <v>28</v>
      </c>
      <c r="R9" s="12">
        <f t="shared" ref="R9:AB9" si="1">SUM(R10:R12)</f>
        <v>152828.74325</v>
      </c>
      <c r="S9" s="12">
        <f t="shared" si="1"/>
        <v>167011.45624999999</v>
      </c>
      <c r="T9" s="12">
        <f t="shared" si="1"/>
        <v>155935.89624999999</v>
      </c>
      <c r="U9" s="12">
        <f t="shared" si="1"/>
        <v>224524.89924999996</v>
      </c>
      <c r="V9" s="12">
        <f t="shared" si="1"/>
        <v>210483.36224999992</v>
      </c>
      <c r="W9" s="12">
        <f t="shared" si="1"/>
        <v>191555.96299999999</v>
      </c>
      <c r="X9" s="12">
        <f t="shared" si="1"/>
        <v>167260.84299999999</v>
      </c>
      <c r="Y9" s="12">
        <f t="shared" si="1"/>
        <v>246355.42299999998</v>
      </c>
      <c r="Z9" s="12">
        <f t="shared" si="1"/>
        <v>310863.24300000002</v>
      </c>
      <c r="AA9" s="12">
        <f t="shared" si="1"/>
        <v>357050.51299999998</v>
      </c>
      <c r="AB9" s="12">
        <f t="shared" si="1"/>
        <v>459095.32299999992</v>
      </c>
      <c r="AC9" s="12">
        <f>SUM(AC10:AC12)</f>
        <v>627695.02999999991</v>
      </c>
      <c r="AD9" s="12">
        <f>SUM(AD10:AD12)</f>
        <v>649477.2699999999</v>
      </c>
    </row>
    <row r="10" spans="1:30" ht="16.5" customHeight="1" x14ac:dyDescent="0.2">
      <c r="A10" s="8" t="s">
        <v>29</v>
      </c>
      <c r="B10" s="13" t="s">
        <v>30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8" t="s">
        <v>29</v>
      </c>
      <c r="Q10" s="13" t="s">
        <v>31</v>
      </c>
      <c r="R10" s="14"/>
      <c r="S10" s="14">
        <f>R12</f>
        <v>152828.74325</v>
      </c>
      <c r="T10" s="14">
        <f>S12+S10</f>
        <v>167011.45624999999</v>
      </c>
      <c r="U10" s="14">
        <f>T12+T10</f>
        <v>155935.89624999999</v>
      </c>
      <c r="V10" s="14">
        <f>U12+U10</f>
        <v>224524.89924999996</v>
      </c>
      <c r="W10" s="14">
        <f>224524.9-14041.54</f>
        <v>210483.36</v>
      </c>
      <c r="X10" s="14">
        <f t="shared" ref="X10:AA10" si="2">W10+W12</f>
        <v>191555.96299999999</v>
      </c>
      <c r="Y10" s="14">
        <f t="shared" si="2"/>
        <v>167260.84299999999</v>
      </c>
      <c r="Z10" s="14">
        <f t="shared" si="2"/>
        <v>246355.42299999998</v>
      </c>
      <c r="AA10" s="14">
        <f t="shared" si="2"/>
        <v>310863.24300000002</v>
      </c>
      <c r="AB10" s="14">
        <f>AA10+AA12</f>
        <v>357050.51299999998</v>
      </c>
      <c r="AC10" s="14">
        <v>606904.56999999995</v>
      </c>
      <c r="AD10" s="14">
        <f>AC10+AC12</f>
        <v>627695.02999999991</v>
      </c>
    </row>
    <row r="11" spans="1:30" ht="15" x14ac:dyDescent="0.2">
      <c r="A11" s="8" t="s">
        <v>32</v>
      </c>
      <c r="B11" s="13" t="s">
        <v>33</v>
      </c>
      <c r="C11" s="14">
        <f>153146.68-957.17</f>
        <v>152189.50999999998</v>
      </c>
      <c r="D11" s="14">
        <f>[1]Informacja_dodatkowa!$K$50</f>
        <v>148360.84299999999</v>
      </c>
      <c r="E11" s="14">
        <f>[2]Informacja_dodatkowa!$K$50</f>
        <v>144532.17299999998</v>
      </c>
      <c r="F11" s="14">
        <f>[3]Informacja_dodatkowa!$K$50</f>
        <v>140703.503</v>
      </c>
      <c r="G11" s="14">
        <f>[4]Informacja_dodatkowa!$K$50</f>
        <v>136874.83299999998</v>
      </c>
      <c r="H11" s="14">
        <f>[5]Informacja_dodatkowa!$K$46</f>
        <v>133046.163</v>
      </c>
      <c r="I11" s="14">
        <f>[6]Informacja_dodatkowa!$K$50</f>
        <v>129217.49299999999</v>
      </c>
      <c r="J11" s="14">
        <f>[7]Informacja_dodatkowa!$K$50+[7]Informacja_dodatkowa!$F$46</f>
        <v>125388.81999999999</v>
      </c>
      <c r="K11" s="14">
        <f>[7]Informacja_dodatkowa!$K$46</f>
        <v>121560.15299999999</v>
      </c>
      <c r="L11" s="14">
        <f>K11-[8]Rachunek_wyników!$M$27</f>
        <v>117731.48299999999</v>
      </c>
      <c r="M11" s="14">
        <f>L11-[8]Rachunek_wyników!$M$27</f>
        <v>113902.81299999999</v>
      </c>
      <c r="N11" s="14">
        <v>102416.8</v>
      </c>
      <c r="O11" s="14">
        <f>N11-3828.67+47390.01-8688.13</f>
        <v>137290.01</v>
      </c>
      <c r="P11" s="8" t="s">
        <v>32</v>
      </c>
      <c r="Q11" s="13" t="s">
        <v>34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0" ht="28.5" x14ac:dyDescent="0.2">
      <c r="A12" s="8" t="s">
        <v>35</v>
      </c>
      <c r="B12" s="13" t="s">
        <v>36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8" t="s">
        <v>35</v>
      </c>
      <c r="Q12" s="13" t="s">
        <v>37</v>
      </c>
      <c r="R12" s="15">
        <f>[9]Rachunek_wyników!$D$37</f>
        <v>152828.74325</v>
      </c>
      <c r="S12" s="15">
        <f>[10]Rachunek_wyników!$E$37</f>
        <v>14182.712999999989</v>
      </c>
      <c r="T12" s="15">
        <v>-11075.56</v>
      </c>
      <c r="U12" s="15">
        <f>[11]Rachunek_wyników!$G$37</f>
        <v>68589.002999999968</v>
      </c>
      <c r="V12" s="15">
        <f>[12]Rachunek_wyników!$H$37</f>
        <v>-14041.537000000028</v>
      </c>
      <c r="W12" s="15">
        <f>[13]Rachunek_wyników!$I$37</f>
        <v>-18927.397000000001</v>
      </c>
      <c r="X12" s="15">
        <f>[13]Rachunek_wyników!$J$37</f>
        <v>-24295.119999999999</v>
      </c>
      <c r="Y12" s="15">
        <f>[14]Rachunek_wyników!$K$37</f>
        <v>79094.579999999987</v>
      </c>
      <c r="Z12" s="15">
        <f>[15]Rachunek_wyników!$L$37</f>
        <v>64507.820000000051</v>
      </c>
      <c r="AA12" s="15">
        <f>[8]Rachunek_wyników!$M$37</f>
        <v>46187.269999999939</v>
      </c>
      <c r="AB12" s="15">
        <f>[8]Rachunek_wyników!$N$37</f>
        <v>102044.80999999994</v>
      </c>
      <c r="AC12" s="15">
        <v>20790.46</v>
      </c>
      <c r="AD12" s="15">
        <v>21782.240000000002</v>
      </c>
    </row>
    <row r="13" spans="1:30" ht="24" x14ac:dyDescent="0.2">
      <c r="A13" s="8" t="s">
        <v>38</v>
      </c>
      <c r="B13" s="13" t="s">
        <v>39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8">
        <v>1</v>
      </c>
      <c r="Q13" s="16" t="s">
        <v>40</v>
      </c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ht="28.5" x14ac:dyDescent="0.2">
      <c r="A14" s="8" t="s">
        <v>41</v>
      </c>
      <c r="B14" s="13" t="s">
        <v>42</v>
      </c>
      <c r="C14" s="14"/>
      <c r="D14" s="14"/>
      <c r="E14" s="14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8">
        <v>2</v>
      </c>
      <c r="Q14" s="19" t="s">
        <v>43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</row>
    <row r="15" spans="1:30" ht="30" x14ac:dyDescent="0.2">
      <c r="A15" s="8" t="s">
        <v>44</v>
      </c>
      <c r="B15" s="11" t="s">
        <v>45</v>
      </c>
      <c r="C15" s="12">
        <f t="shared" ref="C15:J15" si="3">SUM(C16+C17+C21)</f>
        <v>639.23</v>
      </c>
      <c r="D15" s="12">
        <f t="shared" si="3"/>
        <v>18650.61</v>
      </c>
      <c r="E15" s="12">
        <f t="shared" si="3"/>
        <v>11403.73</v>
      </c>
      <c r="F15" s="12">
        <f t="shared" si="3"/>
        <v>85578.2</v>
      </c>
      <c r="G15" s="12">
        <f t="shared" si="3"/>
        <v>73608.53</v>
      </c>
      <c r="H15" s="12">
        <f t="shared" si="3"/>
        <v>58509.8</v>
      </c>
      <c r="I15" s="12">
        <f t="shared" si="3"/>
        <v>38043.35</v>
      </c>
      <c r="J15" s="12">
        <f t="shared" si="3"/>
        <v>120966.6</v>
      </c>
      <c r="K15" s="12">
        <f>SUM(K16+K17+K21)</f>
        <v>189303.09</v>
      </c>
      <c r="L15" s="12">
        <f>SUM(L16+L17+L21)</f>
        <v>241891.39</v>
      </c>
      <c r="M15" s="12">
        <f>SUM(M16+M17+M21)</f>
        <v>348034.04</v>
      </c>
      <c r="N15" s="12">
        <f>SUM(N16+N17+N21)</f>
        <v>525278.23</v>
      </c>
      <c r="O15" s="12">
        <f>SUM(O16+O17+O21)</f>
        <v>512187.26</v>
      </c>
      <c r="P15" s="8" t="s">
        <v>44</v>
      </c>
      <c r="Q15" s="11" t="s">
        <v>46</v>
      </c>
      <c r="R15" s="12">
        <f t="shared" ref="R15:AC15" si="4">SUM(R16+R17+R21+R22)</f>
        <v>0</v>
      </c>
      <c r="S15" s="12">
        <f t="shared" si="4"/>
        <v>0</v>
      </c>
      <c r="T15" s="12">
        <f t="shared" si="4"/>
        <v>0</v>
      </c>
      <c r="U15" s="12">
        <f t="shared" si="4"/>
        <v>1756.8</v>
      </c>
      <c r="V15" s="12">
        <f t="shared" si="4"/>
        <v>0</v>
      </c>
      <c r="W15" s="12">
        <f t="shared" si="4"/>
        <v>0</v>
      </c>
      <c r="X15" s="12">
        <f t="shared" si="4"/>
        <v>0</v>
      </c>
      <c r="Y15" s="12">
        <f t="shared" si="4"/>
        <v>0</v>
      </c>
      <c r="Z15" s="12">
        <f t="shared" si="4"/>
        <v>0</v>
      </c>
      <c r="AA15" s="12">
        <f t="shared" si="4"/>
        <v>2572.3599999999997</v>
      </c>
      <c r="AB15" s="12">
        <f t="shared" si="4"/>
        <v>2841.53</v>
      </c>
      <c r="AC15" s="12">
        <f t="shared" si="4"/>
        <v>0</v>
      </c>
      <c r="AD15" s="12">
        <f>SUM(AD16+AD17+AD21+AD22)</f>
        <v>0</v>
      </c>
    </row>
    <row r="16" spans="1:30" ht="28.5" x14ac:dyDescent="0.2">
      <c r="A16" s="8" t="s">
        <v>29</v>
      </c>
      <c r="B16" s="13" t="s">
        <v>47</v>
      </c>
      <c r="C16" s="14"/>
      <c r="D16" s="14"/>
      <c r="E16" s="14"/>
      <c r="F16" s="14"/>
      <c r="G16" s="14"/>
      <c r="H16" s="14"/>
      <c r="I16" s="14"/>
      <c r="J16" s="14"/>
      <c r="K16" s="14">
        <v>1521.6</v>
      </c>
      <c r="L16" s="14">
        <v>26411.040000000001</v>
      </c>
      <c r="M16" s="14">
        <v>74037.3</v>
      </c>
      <c r="N16" s="14">
        <v>131490.92000000001</v>
      </c>
      <c r="O16" s="14">
        <v>164960.19</v>
      </c>
      <c r="P16" s="8" t="s">
        <v>29</v>
      </c>
      <c r="Q16" s="13" t="s">
        <v>48</v>
      </c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1" ht="28.5" x14ac:dyDescent="0.2">
      <c r="A17" s="42" t="s">
        <v>32</v>
      </c>
      <c r="B17" s="45" t="s">
        <v>49</v>
      </c>
      <c r="C17" s="48"/>
      <c r="D17" s="48"/>
      <c r="E17" s="48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8" t="s">
        <v>32</v>
      </c>
      <c r="Q17" s="13" t="s">
        <v>50</v>
      </c>
      <c r="R17" s="15">
        <f t="shared" ref="R17:AC17" si="5">SUM(R18:R20)</f>
        <v>0</v>
      </c>
      <c r="S17" s="15">
        <f t="shared" si="5"/>
        <v>0</v>
      </c>
      <c r="T17" s="15">
        <f t="shared" si="5"/>
        <v>0</v>
      </c>
      <c r="U17" s="15">
        <f t="shared" si="5"/>
        <v>1756.8</v>
      </c>
      <c r="V17" s="15">
        <f t="shared" si="5"/>
        <v>0</v>
      </c>
      <c r="W17" s="15">
        <f t="shared" si="5"/>
        <v>0</v>
      </c>
      <c r="X17" s="15">
        <f t="shared" si="5"/>
        <v>0</v>
      </c>
      <c r="Y17" s="15">
        <f t="shared" si="5"/>
        <v>0</v>
      </c>
      <c r="Z17" s="15">
        <f t="shared" si="5"/>
        <v>0</v>
      </c>
      <c r="AA17" s="15">
        <f t="shared" si="5"/>
        <v>2572.3599999999997</v>
      </c>
      <c r="AB17" s="15">
        <f t="shared" si="5"/>
        <v>2841.53</v>
      </c>
      <c r="AC17" s="15">
        <f t="shared" si="5"/>
        <v>0</v>
      </c>
      <c r="AD17" s="15">
        <f>SUM(AD18:AD20)</f>
        <v>0</v>
      </c>
    </row>
    <row r="18" spans="1:31" ht="15" x14ac:dyDescent="0.2">
      <c r="A18" s="43"/>
      <c r="B18" s="46"/>
      <c r="C18" s="49"/>
      <c r="D18" s="49"/>
      <c r="E18" s="4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8">
        <v>1</v>
      </c>
      <c r="Q18" s="13" t="s">
        <v>51</v>
      </c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1" ht="15" x14ac:dyDescent="0.2">
      <c r="A19" s="43"/>
      <c r="B19" s="46"/>
      <c r="C19" s="49"/>
      <c r="D19" s="49"/>
      <c r="E19" s="4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8">
        <v>2</v>
      </c>
      <c r="Q19" s="13" t="s">
        <v>52</v>
      </c>
      <c r="R19" s="14"/>
      <c r="S19" s="14"/>
      <c r="T19" s="14"/>
      <c r="U19" s="14">
        <v>1756.8</v>
      </c>
      <c r="V19" s="14"/>
      <c r="W19" s="14"/>
      <c r="X19" s="14"/>
      <c r="Y19" s="14"/>
      <c r="Z19" s="14"/>
      <c r="AA19" s="14">
        <f>1133.26+1439.1</f>
        <v>2572.3599999999997</v>
      </c>
      <c r="AB19" s="14">
        <v>2841.53</v>
      </c>
      <c r="AC19" s="14">
        <v>0</v>
      </c>
      <c r="AD19" s="14">
        <v>0</v>
      </c>
    </row>
    <row r="20" spans="1:31" ht="15" x14ac:dyDescent="0.2">
      <c r="A20" s="44"/>
      <c r="B20" s="47"/>
      <c r="C20" s="50"/>
      <c r="D20" s="50"/>
      <c r="E20" s="5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18">
        <v>3</v>
      </c>
      <c r="Q20" s="22" t="s">
        <v>53</v>
      </c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</row>
    <row r="21" spans="1:31" ht="15" x14ac:dyDescent="0.2">
      <c r="A21" s="8" t="s">
        <v>35</v>
      </c>
      <c r="B21" s="13" t="s">
        <v>54</v>
      </c>
      <c r="C21" s="15">
        <f t="shared" ref="C21:J21" si="6">SUM(C22:C23)</f>
        <v>639.23</v>
      </c>
      <c r="D21" s="15">
        <f t="shared" si="6"/>
        <v>18650.61</v>
      </c>
      <c r="E21" s="15">
        <f t="shared" si="6"/>
        <v>11403.73</v>
      </c>
      <c r="F21" s="15">
        <f t="shared" si="6"/>
        <v>85578.2</v>
      </c>
      <c r="G21" s="15">
        <f t="shared" si="6"/>
        <v>73608.53</v>
      </c>
      <c r="H21" s="15">
        <f t="shared" si="6"/>
        <v>58509.8</v>
      </c>
      <c r="I21" s="15">
        <f t="shared" si="6"/>
        <v>38043.35</v>
      </c>
      <c r="J21" s="15">
        <f t="shared" si="6"/>
        <v>120966.6</v>
      </c>
      <c r="K21" s="15">
        <f>SUM(K22:K23)</f>
        <v>187781.49</v>
      </c>
      <c r="L21" s="15">
        <f>SUM(L22:L23)</f>
        <v>215480.35</v>
      </c>
      <c r="M21" s="15">
        <f>SUM(M22:M23)</f>
        <v>273996.74</v>
      </c>
      <c r="N21" s="15">
        <f>SUM(N22:N23)</f>
        <v>393787.31</v>
      </c>
      <c r="O21" s="15">
        <f>SUM(O22:O23)</f>
        <v>347227.07</v>
      </c>
      <c r="P21" s="18" t="s">
        <v>35</v>
      </c>
      <c r="Q21" s="22" t="s">
        <v>55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spans="1:31" ht="15" x14ac:dyDescent="0.2">
      <c r="A22" s="8">
        <v>1</v>
      </c>
      <c r="B22" s="13" t="s">
        <v>56</v>
      </c>
      <c r="C22" s="14">
        <v>639.23</v>
      </c>
      <c r="D22" s="14">
        <v>18650.61</v>
      </c>
      <c r="E22" s="14">
        <v>11403.73</v>
      </c>
      <c r="F22" s="17">
        <v>85578.2</v>
      </c>
      <c r="G22" s="17">
        <v>73608.53</v>
      </c>
      <c r="H22" s="17">
        <v>58509.8</v>
      </c>
      <c r="I22" s="17">
        <v>38043.35</v>
      </c>
      <c r="J22" s="17">
        <v>120966.6</v>
      </c>
      <c r="K22" s="17">
        <v>187781.49</v>
      </c>
      <c r="L22" s="17">
        <v>215480.35</v>
      </c>
      <c r="M22" s="17">
        <v>273996.74</v>
      </c>
      <c r="N22" s="17">
        <v>393787.31</v>
      </c>
      <c r="O22" s="20">
        <f>345960.57+1266.5</f>
        <v>347227.07</v>
      </c>
      <c r="P22" s="18" t="s">
        <v>38</v>
      </c>
      <c r="Q22" s="22" t="s">
        <v>57</v>
      </c>
      <c r="R22" s="23">
        <f t="shared" ref="R22:AC22" si="7">SUM(R23:R24)</f>
        <v>0</v>
      </c>
      <c r="S22" s="23">
        <f t="shared" si="7"/>
        <v>0</v>
      </c>
      <c r="T22" s="23">
        <f t="shared" si="7"/>
        <v>0</v>
      </c>
      <c r="U22" s="23">
        <f t="shared" si="7"/>
        <v>0</v>
      </c>
      <c r="V22" s="23">
        <f t="shared" si="7"/>
        <v>0</v>
      </c>
      <c r="W22" s="23">
        <f t="shared" si="7"/>
        <v>0</v>
      </c>
      <c r="X22" s="23">
        <f t="shared" si="7"/>
        <v>0</v>
      </c>
      <c r="Y22" s="23">
        <f t="shared" si="7"/>
        <v>0</v>
      </c>
      <c r="Z22" s="23">
        <f t="shared" si="7"/>
        <v>0</v>
      </c>
      <c r="AA22" s="23">
        <f t="shared" si="7"/>
        <v>0</v>
      </c>
      <c r="AB22" s="23">
        <f t="shared" si="7"/>
        <v>0</v>
      </c>
      <c r="AC22" s="23">
        <f t="shared" si="7"/>
        <v>0</v>
      </c>
      <c r="AD22" s="23">
        <f>SUM(AD23:AD24)</f>
        <v>0</v>
      </c>
    </row>
    <row r="23" spans="1:31" ht="28.5" x14ac:dyDescent="0.2">
      <c r="A23" s="18">
        <v>2</v>
      </c>
      <c r="B23" s="22" t="s">
        <v>58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>
        <v>1</v>
      </c>
      <c r="Q23" s="22" t="s">
        <v>59</v>
      </c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 t="s">
        <v>68</v>
      </c>
    </row>
    <row r="24" spans="1:31" ht="30.75" thickBot="1" x14ac:dyDescent="0.25">
      <c r="A24" s="18" t="s">
        <v>60</v>
      </c>
      <c r="B24" s="24" t="s">
        <v>61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>
        <v>2</v>
      </c>
      <c r="Q24" s="22" t="s">
        <v>62</v>
      </c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</row>
    <row r="25" spans="1:31" ht="16.5" thickTop="1" thickBot="1" x14ac:dyDescent="0.25">
      <c r="A25" s="25"/>
      <c r="B25" s="26" t="s">
        <v>63</v>
      </c>
      <c r="C25" s="27">
        <f t="shared" ref="C25:L25" si="8">SUM(C9+C15+C24)</f>
        <v>152828.74</v>
      </c>
      <c r="D25" s="27">
        <f t="shared" si="8"/>
        <v>167011.45299999998</v>
      </c>
      <c r="E25" s="27">
        <f t="shared" si="8"/>
        <v>155935.90299999999</v>
      </c>
      <c r="F25" s="27">
        <f t="shared" si="8"/>
        <v>226281.70299999998</v>
      </c>
      <c r="G25" s="27">
        <f t="shared" si="8"/>
        <v>210483.36299999998</v>
      </c>
      <c r="H25" s="27">
        <f t="shared" si="8"/>
        <v>191555.96299999999</v>
      </c>
      <c r="I25" s="27">
        <f t="shared" si="8"/>
        <v>167260.84299999999</v>
      </c>
      <c r="J25" s="27">
        <f t="shared" si="8"/>
        <v>246355.41999999998</v>
      </c>
      <c r="K25" s="27">
        <f t="shared" si="8"/>
        <v>310863.24300000002</v>
      </c>
      <c r="L25" s="27">
        <f t="shared" si="8"/>
        <v>359622.87300000002</v>
      </c>
      <c r="M25" s="27">
        <f>SUM(M9+M15+M24)</f>
        <v>461936.853</v>
      </c>
      <c r="N25" s="27">
        <f>SUM(N9+N15+N24)</f>
        <v>627695.03</v>
      </c>
      <c r="O25" s="27">
        <f>SUM(O9+O15+O24)</f>
        <v>649477.27</v>
      </c>
      <c r="P25" s="28"/>
      <c r="Q25" s="26" t="s">
        <v>63</v>
      </c>
      <c r="R25" s="27">
        <f t="shared" ref="R25:AC25" si="9">SUM(R9+R15)</f>
        <v>152828.74325</v>
      </c>
      <c r="S25" s="29">
        <f t="shared" si="9"/>
        <v>167011.45624999999</v>
      </c>
      <c r="T25" s="29">
        <f t="shared" si="9"/>
        <v>155935.89624999999</v>
      </c>
      <c r="U25" s="29">
        <f t="shared" si="9"/>
        <v>226281.69924999995</v>
      </c>
      <c r="V25" s="29">
        <f t="shared" si="9"/>
        <v>210483.36224999992</v>
      </c>
      <c r="W25" s="29">
        <f t="shared" si="9"/>
        <v>191555.96299999999</v>
      </c>
      <c r="X25" s="29">
        <f t="shared" si="9"/>
        <v>167260.84299999999</v>
      </c>
      <c r="Y25" s="29">
        <f t="shared" si="9"/>
        <v>246355.42299999998</v>
      </c>
      <c r="Z25" s="29">
        <f t="shared" si="9"/>
        <v>310863.24300000002</v>
      </c>
      <c r="AA25" s="29">
        <f t="shared" si="9"/>
        <v>359622.87299999996</v>
      </c>
      <c r="AB25" s="29">
        <f t="shared" si="9"/>
        <v>461936.85299999994</v>
      </c>
      <c r="AC25" s="29">
        <f t="shared" si="9"/>
        <v>627695.02999999991</v>
      </c>
      <c r="AD25" s="29">
        <f>SUM(AD9+AD15)</f>
        <v>649477.2699999999</v>
      </c>
      <c r="AE25" s="30">
        <f>N25-AC25</f>
        <v>0</v>
      </c>
    </row>
    <row r="26" spans="1:31" ht="15" thickTop="1" x14ac:dyDescent="0.2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Z26" s="30"/>
    </row>
    <row r="27" spans="1:31" ht="18" x14ac:dyDescent="0.25">
      <c r="A27" s="3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34"/>
      <c r="P27" s="1"/>
      <c r="Q27" s="36"/>
      <c r="R27" s="1" t="s">
        <v>64</v>
      </c>
      <c r="S27" s="1"/>
      <c r="W27" s="32"/>
    </row>
    <row r="28" spans="1:31" ht="14.25" x14ac:dyDescent="0.2">
      <c r="A28" s="33" t="s">
        <v>69</v>
      </c>
      <c r="B28" s="1"/>
      <c r="C28" s="1"/>
      <c r="D28" s="3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35" t="s">
        <v>65</v>
      </c>
      <c r="S28" s="1"/>
    </row>
    <row r="29" spans="1:31" ht="14.25" x14ac:dyDescent="0.2">
      <c r="A29" s="1"/>
      <c r="B29" s="1"/>
      <c r="C29" s="1"/>
      <c r="D29" s="34"/>
      <c r="E29" s="1"/>
      <c r="F29" s="1"/>
      <c r="G29" s="34"/>
      <c r="H29" s="34"/>
      <c r="I29" s="34"/>
      <c r="J29" s="34"/>
      <c r="K29" s="34"/>
      <c r="L29" s="34"/>
      <c r="M29" s="34"/>
      <c r="N29" s="34"/>
      <c r="O29" s="34"/>
      <c r="P29" s="1"/>
      <c r="Q29" s="1" t="s">
        <v>66</v>
      </c>
      <c r="R29" s="1"/>
      <c r="S29" s="1"/>
    </row>
    <row r="30" spans="1:31" x14ac:dyDescent="0.2">
      <c r="D30" s="30"/>
    </row>
    <row r="34" spans="5:16" x14ac:dyDescent="0.2">
      <c r="E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5:16" x14ac:dyDescent="0.2">
      <c r="P35" s="30"/>
    </row>
    <row r="36" spans="5:16" x14ac:dyDescent="0.2">
      <c r="K36" s="30"/>
    </row>
    <row r="37" spans="5:16" x14ac:dyDescent="0.2">
      <c r="K37" s="30"/>
    </row>
  </sheetData>
  <mergeCells count="9">
    <mergeCell ref="D1:P1"/>
    <mergeCell ref="A5:S5"/>
    <mergeCell ref="G7:O7"/>
    <mergeCell ref="AB7:AD7"/>
    <mergeCell ref="A17:A20"/>
    <mergeCell ref="B17:B20"/>
    <mergeCell ref="C17:C20"/>
    <mergeCell ref="D17:D20"/>
    <mergeCell ref="E17:E20"/>
  </mergeCells>
  <printOptions horizontalCentered="1" verticalCentered="1"/>
  <pageMargins left="0.78740157480314965" right="0.78740157480314965" top="0.63" bottom="0.73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Bilans</vt:lpstr>
      <vt:lpstr>Bilans!Obszar_wydruku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</cp:lastModifiedBy>
  <cp:lastPrinted>2020-06-17T11:51:26Z</cp:lastPrinted>
  <dcterms:created xsi:type="dcterms:W3CDTF">2020-05-18T06:34:48Z</dcterms:created>
  <dcterms:modified xsi:type="dcterms:W3CDTF">2021-06-21T15:15:44Z</dcterms:modified>
</cp:coreProperties>
</file>